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0" windowWidth="14355" windowHeight="6210"/>
  </bookViews>
  <sheets>
    <sheet name="Sheet1" sheetId="1" r:id="rId1"/>
    <sheet name="Sheet2" sheetId="2" r:id="rId2"/>
    <sheet name="Sheet3" sheetId="3" r:id="rId3"/>
  </sheets>
  <definedNames>
    <definedName name="d1_">Sheet1!$J$14</definedName>
    <definedName name="d2_">Sheet1!$J$15</definedName>
    <definedName name="F">Sheet1!$J$13</definedName>
    <definedName name="k">Sheet1!$E$13</definedName>
    <definedName name="N__d1">Sheet1!$J$18</definedName>
    <definedName name="N__d2">Sheet1!$J$19</definedName>
    <definedName name="Nd1_">Sheet1!$J$16</definedName>
    <definedName name="Nd2_">Sheet1!$J$17</definedName>
    <definedName name="Pd1_">Sheet1!$J$20</definedName>
    <definedName name="Pd2_">Sheet1!$J$28</definedName>
    <definedName name="_xlnm.Print_Area" localSheetId="0">Sheet1!$B$1:$G$49</definedName>
    <definedName name="q">Sheet1!$J$11</definedName>
    <definedName name="rr">Sheet1!$J$12</definedName>
    <definedName name="s">Sheet1!$E$14</definedName>
    <definedName name="t">Sheet1!$J$8</definedName>
    <definedName name="u">Sheet1!$J$10</definedName>
    <definedName name="v">Sheet1!$E$17</definedName>
  </definedNames>
  <calcPr calcId="144525"/>
</workbook>
</file>

<file path=xl/calcChain.xml><?xml version="1.0" encoding="utf-8"?>
<calcChain xmlns="http://schemas.openxmlformats.org/spreadsheetml/2006/main">
  <c r="C16" i="1" l="1"/>
  <c r="G15" i="1" l="1"/>
  <c r="G21" i="1" l="1"/>
  <c r="C21" i="1"/>
  <c r="G22" i="1"/>
  <c r="G19" i="1"/>
  <c r="G18" i="1"/>
  <c r="J9" i="1"/>
  <c r="J10" i="1" s="1"/>
  <c r="J7" i="1"/>
  <c r="J8" i="1" s="1"/>
  <c r="C22" i="1"/>
  <c r="C19" i="1"/>
  <c r="C18" i="1"/>
  <c r="C20" i="1"/>
  <c r="C23" i="1"/>
  <c r="C27" i="1" l="1"/>
  <c r="C29" i="1"/>
  <c r="C26" i="1"/>
  <c r="C24" i="1"/>
  <c r="E23" i="1"/>
  <c r="E20" i="1"/>
  <c r="E29" i="1" l="1"/>
  <c r="J12" i="1" s="1"/>
  <c r="E26" i="1"/>
  <c r="J11" i="1" s="1"/>
  <c r="J13" i="1" l="1"/>
  <c r="E15" i="1"/>
  <c r="J15" i="1" l="1"/>
  <c r="J17" i="1" s="1"/>
  <c r="J14" i="1"/>
  <c r="J20" i="1" s="1"/>
  <c r="J16" i="1" l="1"/>
  <c r="D46" i="1" s="1"/>
  <c r="D47" i="1" s="1"/>
  <c r="D44" i="1"/>
  <c r="D45" i="1" s="1"/>
  <c r="D35" i="1"/>
  <c r="D36" i="1"/>
  <c r="D38" i="1"/>
  <c r="E38" i="1"/>
  <c r="D40" i="1"/>
  <c r="D41" i="1" s="1"/>
  <c r="J19" i="1"/>
  <c r="D42" i="1" l="1"/>
  <c r="D43" i="1" s="1"/>
  <c r="D37" i="1"/>
  <c r="E44" i="1"/>
  <c r="E45" i="1" s="1"/>
  <c r="E39" i="1"/>
  <c r="D39" i="1"/>
  <c r="D32" i="1"/>
  <c r="D33" i="1" s="1"/>
  <c r="E36" i="1"/>
  <c r="J18" i="1"/>
  <c r="E37" i="1" l="1"/>
  <c r="E46" i="1"/>
  <c r="E47" i="1" s="1"/>
  <c r="E42" i="1"/>
  <c r="E43" i="1" s="1"/>
  <c r="E35" i="1"/>
  <c r="E40" i="1"/>
  <c r="E41" i="1" s="1"/>
  <c r="E32" i="1"/>
  <c r="E33" i="1" s="1"/>
</calcChain>
</file>

<file path=xl/sharedStrings.xml><?xml version="1.0" encoding="utf-8"?>
<sst xmlns="http://schemas.openxmlformats.org/spreadsheetml/2006/main" count="54" uniqueCount="51">
  <si>
    <t>Input data:</t>
  </si>
  <si>
    <t>e.g. enter "6.375%" as "6.375"</t>
  </si>
  <si>
    <t>Results:</t>
  </si>
  <si>
    <t>www.markets-international.com                                             Copyright:  Markets International Ltd</t>
  </si>
  <si>
    <t xml:space="preserve">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
</t>
  </si>
  <si>
    <t>Strike</t>
  </si>
  <si>
    <t>Current spot price</t>
  </si>
  <si>
    <t>Volatility</t>
  </si>
  <si>
    <t>N(-d1)</t>
  </si>
  <si>
    <t>N(-d2)</t>
  </si>
  <si>
    <t>d1</t>
  </si>
  <si>
    <t>d2</t>
  </si>
  <si>
    <t>What are a European option's put and call premium values and Greeks, using the Black &amp; Scholes model?</t>
  </si>
  <si>
    <t>Choices for input:</t>
  </si>
  <si>
    <t>Input specific dates or numbers of days?</t>
  </si>
  <si>
    <t>Input continuously compounded interest rates or 'normal' quoted rates for the period?</t>
  </si>
  <si>
    <t>Year basis for a 'normal' quoted interest rate in the base currency (usually 360 or 365)</t>
  </si>
  <si>
    <t>Vega</t>
  </si>
  <si>
    <t>Spot delta</t>
  </si>
  <si>
    <t>Gamma</t>
  </si>
  <si>
    <t>Forward delta</t>
  </si>
  <si>
    <t>Phi (= base currency rho)</t>
  </si>
  <si>
    <t xml:space="preserve">    theta per day</t>
  </si>
  <si>
    <t xml:space="preserve">    phi for a 1% change in the base currency interest rate</t>
  </si>
  <si>
    <t>Year basis for a 'normal' quoted interest rate in the counter currency (usually 360 or 365)</t>
  </si>
  <si>
    <t xml:space="preserve">    rho for a 1% change in the counter currency interest rate</t>
  </si>
  <si>
    <t>Rho (= counter currency rho)</t>
  </si>
  <si>
    <t>Call</t>
  </si>
  <si>
    <t>Put</t>
  </si>
  <si>
    <t>Theta (assuming spot is unchanged)</t>
  </si>
  <si>
    <t>Theta (assuming forward outright is unchanged)</t>
  </si>
  <si>
    <t>Nd1</t>
  </si>
  <si>
    <t>Nd2</t>
  </si>
  <si>
    <t>Pd1</t>
  </si>
  <si>
    <t>f = forward outright</t>
  </si>
  <si>
    <t>u = days/365</t>
  </si>
  <si>
    <t>t = days/365</t>
  </si>
  <si>
    <t xml:space="preserve">    vega for a 1% change in volatility</t>
  </si>
  <si>
    <t xml:space="preserve">    premium as a percentage of the base currency amount</t>
  </si>
  <si>
    <t>Premium expressed in units of the counter currency</t>
  </si>
  <si>
    <t>Input forward outright or let the spreadsheet calculate it theoretically from the interest rates?</t>
  </si>
  <si>
    <t>q = base currency rate (cont comp)</t>
  </si>
  <si>
    <t>r = counter currency rate (cont comp)</t>
  </si>
  <si>
    <t>Days until expiry</t>
  </si>
  <si>
    <t>Days from spot to fwd value date</t>
  </si>
  <si>
    <r>
      <t xml:space="preserve">(Do </t>
    </r>
    <r>
      <rPr>
        <b/>
        <sz val="11"/>
        <color theme="1"/>
        <rFont val="Calibri"/>
        <family val="2"/>
        <scheme val="minor"/>
      </rPr>
      <t>not</t>
    </r>
    <r>
      <rPr>
        <sz val="11"/>
        <color theme="1"/>
        <rFont val="Calibri"/>
        <family val="2"/>
        <scheme val="minor"/>
      </rPr>
      <t xml:space="preserve"> delete this part of the spreadsheet!)</t>
    </r>
  </si>
  <si>
    <t xml:space="preserve">    Forward outright calculated using the spot above and the interest rates below</t>
  </si>
  <si>
    <t>Black &amp; Scholes option values and Greeks for FX</t>
  </si>
  <si>
    <t>DAYS</t>
  </si>
  <si>
    <t>INPUT</t>
  </si>
  <si>
    <t>NORMAL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</si>
</sst>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0.000%"/>
    <numFmt numFmtId="165" formatCode="[$-F800]dddd\,\ mmmm\ dd\,\ yyyy"/>
    <numFmt numFmtId="166" formatCode="0.000000"/>
  </numFmts>
  <fonts count="17" x14ac:knownFonts="1">
    <font>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sz val="11"/>
      <color rgb="FF0070C0"/>
      <name val="Calibri"/>
      <family val="2"/>
      <scheme val="minor"/>
    </font>
    <font>
      <i/>
      <sz val="11"/>
      <name val="Calibri"/>
      <family val="2"/>
      <scheme val="minor"/>
    </font>
    <font>
      <b/>
      <sz val="14"/>
      <name val="Calibri"/>
      <family val="2"/>
      <scheme val="minor"/>
    </font>
    <font>
      <b/>
      <sz val="11"/>
      <color theme="1"/>
      <name val="Calibri"/>
      <family val="2"/>
      <scheme val="minor"/>
    </font>
    <font>
      <sz val="11"/>
      <color rgb="FFFF0000"/>
      <name val="Calibri"/>
      <family val="2"/>
      <scheme val="minor"/>
    </font>
    <font>
      <b/>
      <u/>
      <sz val="11"/>
      <color theme="1"/>
      <name val="Calibri"/>
      <family val="2"/>
      <scheme val="minor"/>
    </font>
    <font>
      <i/>
      <sz val="11"/>
      <color theme="1"/>
      <name val="Calibri"/>
      <family val="2"/>
      <scheme val="minor"/>
    </font>
    <font>
      <i/>
      <sz val="11"/>
      <color rgb="FFFF0000"/>
      <name val="Calibri"/>
      <family val="2"/>
      <scheme val="minor"/>
    </font>
    <font>
      <b/>
      <u/>
      <sz val="11"/>
      <color rgb="FFFF0000"/>
      <name val="Calibri"/>
      <family val="2"/>
      <scheme val="minor"/>
    </font>
  </fonts>
  <fills count="6">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12">
    <xf numFmtId="0" fontId="0" fillId="0" borderId="0"/>
    <xf numFmtId="0" fontId="1" fillId="2" borderId="1" applyNumberFormat="0" applyAlignment="0" applyProtection="0"/>
    <xf numFmtId="0" fontId="3" fillId="4" borderId="0"/>
    <xf numFmtId="0" fontId="6" fillId="3" borderId="0"/>
    <xf numFmtId="0" fontId="4" fillId="3" borderId="0"/>
    <xf numFmtId="0" fontId="9" fillId="3" borderId="0"/>
    <xf numFmtId="0" fontId="10" fillId="3" borderId="10" applyBorder="0"/>
    <xf numFmtId="0" fontId="8" fillId="4" borderId="0">
      <protection locked="0"/>
    </xf>
    <xf numFmtId="0" fontId="2" fillId="3" borderId="0"/>
    <xf numFmtId="0" fontId="7" fillId="3" borderId="0"/>
    <xf numFmtId="44" fontId="4" fillId="0" borderId="0" applyFont="0" applyFill="0" applyBorder="0" applyAlignment="0" applyProtection="0"/>
    <xf numFmtId="0" fontId="5" fillId="4" borderId="0"/>
  </cellStyleXfs>
  <cellXfs count="79">
    <xf numFmtId="0" fontId="0" fillId="0" borderId="0" xfId="0"/>
    <xf numFmtId="0" fontId="8" fillId="4" borderId="0" xfId="7" applyBorder="1" applyProtection="1">
      <protection locked="0"/>
    </xf>
    <xf numFmtId="164" fontId="8" fillId="4" borderId="0" xfId="7" applyNumberFormat="1" applyBorder="1" applyProtection="1">
      <protection locked="0"/>
    </xf>
    <xf numFmtId="165" fontId="8" fillId="4" borderId="0" xfId="7" applyNumberFormat="1" applyBorder="1" applyProtection="1">
      <protection locked="0"/>
    </xf>
    <xf numFmtId="0" fontId="8" fillId="4" borderId="0" xfId="7" applyNumberFormat="1" applyBorder="1" applyProtection="1">
      <protection locked="0"/>
    </xf>
    <xf numFmtId="4" fontId="8" fillId="4" borderId="0" xfId="7" applyNumberFormat="1" applyBorder="1" applyAlignment="1" applyProtection="1">
      <alignment horizontal="right"/>
      <protection locked="0"/>
    </xf>
    <xf numFmtId="4" fontId="8" fillId="4" borderId="11" xfId="7" applyNumberFormat="1" applyBorder="1" applyAlignment="1" applyProtection="1">
      <alignment horizontal="right"/>
      <protection locked="0"/>
    </xf>
    <xf numFmtId="0" fontId="8" fillId="4" borderId="11" xfId="7" applyBorder="1" applyProtection="1">
      <protection locked="0"/>
    </xf>
    <xf numFmtId="164" fontId="8" fillId="4" borderId="11" xfId="7" applyNumberFormat="1" applyBorder="1" applyProtection="1">
      <protection locked="0"/>
    </xf>
    <xf numFmtId="0" fontId="11" fillId="0" borderId="0" xfId="0" applyFont="1" applyProtection="1"/>
    <xf numFmtId="0" fontId="0" fillId="0" borderId="0" xfId="0" applyProtection="1"/>
    <xf numFmtId="0" fontId="0" fillId="0" borderId="0" xfId="0" applyFont="1" applyProtection="1"/>
    <xf numFmtId="0" fontId="4" fillId="3" borderId="2" xfId="4" applyBorder="1" applyProtection="1"/>
    <xf numFmtId="0" fontId="2" fillId="3" borderId="3" xfId="8" applyBorder="1" applyProtection="1"/>
    <xf numFmtId="0" fontId="4" fillId="3" borderId="3" xfId="4" applyBorder="1" applyProtection="1"/>
    <xf numFmtId="0" fontId="4" fillId="3" borderId="4" xfId="4" applyBorder="1" applyProtection="1"/>
    <xf numFmtId="0" fontId="4" fillId="3" borderId="5" xfId="4" applyBorder="1" applyProtection="1"/>
    <xf numFmtId="0" fontId="6" fillId="3" borderId="0" xfId="3" applyBorder="1" applyProtection="1"/>
    <xf numFmtId="0" fontId="4" fillId="3" borderId="0" xfId="4" applyBorder="1" applyProtection="1"/>
    <xf numFmtId="0" fontId="4" fillId="3" borderId="6" xfId="4" applyBorder="1" applyProtection="1"/>
    <xf numFmtId="0" fontId="10" fillId="3" borderId="0" xfId="6" applyBorder="1" applyAlignment="1" applyProtection="1">
      <alignment horizontal="right"/>
    </xf>
    <xf numFmtId="0" fontId="13" fillId="4" borderId="0" xfId="0" applyFont="1" applyFill="1" applyProtection="1"/>
    <xf numFmtId="0" fontId="0" fillId="4" borderId="0" xfId="0" applyFill="1" applyProtection="1"/>
    <xf numFmtId="0" fontId="5" fillId="4" borderId="0" xfId="11" applyBorder="1" applyProtection="1"/>
    <xf numFmtId="0" fontId="5" fillId="4" borderId="11" xfId="11" applyBorder="1" applyProtection="1"/>
    <xf numFmtId="0" fontId="15" fillId="3" borderId="6" xfId="5" applyFont="1" applyBorder="1" applyProtection="1"/>
    <xf numFmtId="0" fontId="0" fillId="5" borderId="0" xfId="0" applyFill="1" applyProtection="1"/>
    <xf numFmtId="0" fontId="5" fillId="5" borderId="0" xfId="11" applyFont="1" applyFill="1" applyBorder="1" applyProtection="1"/>
    <xf numFmtId="0" fontId="0" fillId="5" borderId="0" xfId="0" applyFont="1" applyFill="1" applyProtection="1"/>
    <xf numFmtId="0" fontId="9" fillId="4" borderId="0" xfId="11" applyFont="1" applyBorder="1" applyProtection="1"/>
    <xf numFmtId="0" fontId="14" fillId="3" borderId="6" xfId="4" applyFont="1" applyBorder="1" applyProtection="1"/>
    <xf numFmtId="0" fontId="9" fillId="3" borderId="6" xfId="5" applyFont="1" applyBorder="1" applyProtection="1"/>
    <xf numFmtId="0" fontId="9" fillId="3" borderId="6" xfId="5" applyBorder="1" applyProtection="1"/>
    <xf numFmtId="164" fontId="0" fillId="5" borderId="0" xfId="0" applyNumberFormat="1" applyFill="1" applyProtection="1"/>
    <xf numFmtId="0" fontId="0" fillId="3" borderId="0" xfId="0" applyFill="1" applyProtection="1"/>
    <xf numFmtId="0" fontId="9" fillId="4" borderId="11" xfId="11" applyFont="1" applyBorder="1" applyProtection="1"/>
    <xf numFmtId="164" fontId="9" fillId="4" borderId="0" xfId="11" applyNumberFormat="1" applyFont="1" applyBorder="1" applyProtection="1"/>
    <xf numFmtId="0" fontId="0" fillId="4" borderId="2" xfId="4" applyFont="1" applyFill="1" applyBorder="1" applyProtection="1"/>
    <xf numFmtId="0" fontId="0" fillId="4" borderId="5" xfId="4" applyFont="1" applyFill="1" applyBorder="1" applyProtection="1"/>
    <xf numFmtId="164" fontId="3" fillId="4" borderId="0" xfId="6" applyNumberFormat="1" applyFont="1" applyFill="1" applyBorder="1" applyAlignment="1" applyProtection="1">
      <alignment horizontal="right"/>
    </xf>
    <xf numFmtId="10" fontId="3" fillId="4" borderId="6" xfId="6" applyNumberFormat="1" applyFont="1" applyFill="1" applyBorder="1" applyAlignment="1" applyProtection="1">
      <alignment horizontal="right"/>
    </xf>
    <xf numFmtId="0" fontId="13" fillId="4" borderId="5" xfId="4" applyFont="1" applyFill="1" applyBorder="1" applyProtection="1"/>
    <xf numFmtId="0" fontId="16" fillId="4" borderId="0" xfId="4" applyFont="1" applyFill="1" applyBorder="1" applyProtection="1"/>
    <xf numFmtId="0" fontId="3" fillId="4" borderId="6" xfId="6" applyFont="1" applyFill="1" applyBorder="1" applyAlignment="1" applyProtection="1">
      <alignment horizontal="right"/>
    </xf>
    <xf numFmtId="10" fontId="3" fillId="4" borderId="0" xfId="6" applyNumberFormat="1" applyFont="1" applyFill="1" applyBorder="1" applyAlignment="1" applyProtection="1">
      <alignment horizontal="right"/>
    </xf>
    <xf numFmtId="0" fontId="12" fillId="3" borderId="6" xfId="4" applyFont="1" applyBorder="1" applyProtection="1"/>
    <xf numFmtId="0" fontId="12" fillId="0" borderId="0" xfId="0" applyFont="1" applyProtection="1"/>
    <xf numFmtId="0" fontId="4" fillId="3" borderId="7" xfId="4" applyBorder="1" applyProtection="1"/>
    <xf numFmtId="0" fontId="7" fillId="3" borderId="8" xfId="9" applyBorder="1" applyProtection="1"/>
    <xf numFmtId="0" fontId="4" fillId="3" borderId="8" xfId="4" applyBorder="1" applyProtection="1"/>
    <xf numFmtId="0" fontId="7" fillId="3" borderId="9" xfId="9" applyBorder="1" applyProtection="1"/>
    <xf numFmtId="10" fontId="3" fillId="4" borderId="0" xfId="4" applyNumberFormat="1" applyFont="1" applyFill="1" applyBorder="1" applyProtection="1"/>
    <xf numFmtId="166" fontId="3" fillId="4" borderId="0" xfId="0" applyNumberFormat="1" applyFont="1" applyFill="1" applyBorder="1" applyProtection="1"/>
    <xf numFmtId="166" fontId="3" fillId="4" borderId="6" xfId="0" applyNumberFormat="1" applyFont="1" applyFill="1" applyBorder="1" applyProtection="1"/>
    <xf numFmtId="166" fontId="3" fillId="4" borderId="0" xfId="4" applyNumberFormat="1" applyFont="1" applyFill="1" applyBorder="1" applyProtection="1"/>
    <xf numFmtId="166" fontId="3" fillId="4" borderId="6" xfId="4" applyNumberFormat="1" applyFont="1" applyFill="1" applyBorder="1" applyProtection="1"/>
    <xf numFmtId="166" fontId="3" fillId="4" borderId="6" xfId="6" applyNumberFormat="1" applyFont="1" applyFill="1" applyBorder="1" applyAlignment="1" applyProtection="1">
      <alignment horizontal="right"/>
    </xf>
    <xf numFmtId="0" fontId="11" fillId="5" borderId="2" xfId="0" applyFont="1" applyFill="1" applyBorder="1" applyAlignment="1" applyProtection="1">
      <alignment horizontal="center" vertical="top" wrapText="1"/>
    </xf>
    <xf numFmtId="0" fontId="11" fillId="5" borderId="3" xfId="0" applyFont="1" applyFill="1" applyBorder="1" applyAlignment="1" applyProtection="1">
      <alignment horizontal="center" vertical="top"/>
    </xf>
    <xf numFmtId="0" fontId="11" fillId="5" borderId="4" xfId="0" applyFont="1" applyFill="1" applyBorder="1" applyAlignment="1" applyProtection="1">
      <alignment horizontal="center" vertical="top"/>
    </xf>
    <xf numFmtId="0" fontId="11" fillId="5" borderId="5" xfId="0" applyFont="1" applyFill="1" applyBorder="1" applyAlignment="1" applyProtection="1">
      <alignment horizontal="center" vertical="top"/>
    </xf>
    <xf numFmtId="0" fontId="11" fillId="5" borderId="0" xfId="0" applyFont="1" applyFill="1" applyBorder="1" applyAlignment="1" applyProtection="1">
      <alignment horizontal="center" vertical="top"/>
    </xf>
    <xf numFmtId="0" fontId="11" fillId="5" borderId="6" xfId="0" applyFont="1" applyFill="1" applyBorder="1" applyAlignment="1" applyProtection="1">
      <alignment horizontal="center" vertical="top"/>
    </xf>
    <xf numFmtId="0" fontId="11" fillId="5" borderId="7" xfId="0" applyFont="1" applyFill="1" applyBorder="1" applyAlignment="1" applyProtection="1">
      <alignment horizontal="center" vertical="top"/>
    </xf>
    <xf numFmtId="0" fontId="11" fillId="5" borderId="8" xfId="0" applyFont="1" applyFill="1" applyBorder="1" applyAlignment="1" applyProtection="1">
      <alignment horizontal="center" vertical="top"/>
    </xf>
    <xf numFmtId="0" fontId="11" fillId="5" borderId="9" xfId="0" applyFont="1" applyFill="1" applyBorder="1" applyAlignment="1" applyProtection="1">
      <alignment horizontal="center" vertical="top"/>
    </xf>
    <xf numFmtId="0" fontId="11" fillId="0" borderId="0" xfId="0" applyFont="1" applyFill="1" applyBorder="1" applyProtection="1"/>
    <xf numFmtId="0" fontId="0" fillId="0" borderId="0" xfId="0" applyFill="1" applyBorder="1" applyProtection="1"/>
    <xf numFmtId="0" fontId="0" fillId="0" borderId="0" xfId="0" applyFill="1" applyProtection="1"/>
    <xf numFmtId="0" fontId="0" fillId="4" borderId="7" xfId="4" applyFont="1" applyFill="1" applyBorder="1" applyProtection="1"/>
    <xf numFmtId="166" fontId="3" fillId="4" borderId="8" xfId="0" applyNumberFormat="1" applyFont="1" applyFill="1" applyBorder="1" applyProtection="1"/>
    <xf numFmtId="166" fontId="3" fillId="4" borderId="9" xfId="0" applyNumberFormat="1" applyFont="1" applyFill="1" applyBorder="1" applyProtection="1"/>
    <xf numFmtId="0" fontId="13" fillId="4" borderId="3" xfId="4" applyFont="1" applyFill="1" applyBorder="1" applyAlignment="1" applyProtection="1">
      <alignment horizontal="right"/>
    </xf>
    <xf numFmtId="0" fontId="13" fillId="4" borderId="4" xfId="0" applyFont="1" applyFill="1" applyBorder="1" applyAlignment="1" applyProtection="1">
      <alignment horizontal="right"/>
    </xf>
    <xf numFmtId="164" fontId="8" fillId="4" borderId="0" xfId="7" applyNumberFormat="1" applyFont="1" applyBorder="1" applyProtection="1">
      <protection locked="0"/>
    </xf>
    <xf numFmtId="0" fontId="14" fillId="4" borderId="0" xfId="0" applyFont="1" applyFill="1" applyProtection="1">
      <protection locked="0"/>
    </xf>
    <xf numFmtId="0" fontId="9" fillId="4" borderId="0" xfId="11" applyFont="1" applyBorder="1" applyProtection="1">
      <protection locked="0"/>
    </xf>
    <xf numFmtId="0" fontId="14" fillId="4" borderId="11" xfId="0" applyFont="1" applyFill="1" applyBorder="1" applyProtection="1">
      <protection locked="0"/>
    </xf>
    <xf numFmtId="164" fontId="9" fillId="4" borderId="0" xfId="11" applyNumberFormat="1" applyFont="1" applyBorder="1" applyProtection="1">
      <protection locked="0"/>
    </xf>
  </cellXfs>
  <cellStyles count="12">
    <cellStyle name="Background" xfId="4"/>
    <cellStyle name="Comment" xfId="5"/>
    <cellStyle name="Currency" xfId="10" builtinId="4" customBuiltin="1"/>
    <cellStyle name="Input" xfId="1" builtinId="20" hidden="1"/>
    <cellStyle name="Inputs" xfId="7"/>
    <cellStyle name="markets" xfId="9"/>
    <cellStyle name="Normal" xfId="0" builtinId="0"/>
    <cellStyle name="Question" xfId="3"/>
    <cellStyle name="Results" xfId="2"/>
    <cellStyle name="Subheadings" xfId="6"/>
    <cellStyle name="Tables" xfId="11"/>
    <cellStyle name="Titles" xfId="8"/>
  </cellStyles>
  <dxfs count="5">
    <dxf>
      <numFmt numFmtId="0" formatCode="General"/>
    </dxf>
    <dxf>
      <font>
        <strike/>
        <color theme="3" tint="0.79998168889431442"/>
      </font>
    </dxf>
    <dxf>
      <numFmt numFmtId="0" formatCode="General"/>
    </dxf>
    <dxf>
      <font>
        <b val="0"/>
        <i/>
        <strike/>
        <color theme="3" tint="0.79998168889431442"/>
      </font>
    </dxf>
    <dxf>
      <font>
        <b val="0"/>
        <i/>
        <strike/>
        <color theme="3" tint="0.79998168889431442"/>
      </font>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arkets-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9"/>
  <sheetViews>
    <sheetView tabSelected="1" zoomScaleNormal="100" workbookViewId="0">
      <selection activeCell="E10" sqref="E10"/>
    </sheetView>
  </sheetViews>
  <sheetFormatPr defaultRowHeight="15" x14ac:dyDescent="0.25"/>
  <cols>
    <col min="1" max="2" width="2.85546875" style="10" customWidth="1"/>
    <col min="3" max="3" width="65.7109375" style="10" customWidth="1"/>
    <col min="4" max="4" width="18.28515625" style="10" customWidth="1"/>
    <col min="5" max="5" width="17.7109375" style="10" customWidth="1"/>
    <col min="6" max="6" width="1.85546875" style="10" customWidth="1"/>
    <col min="7" max="7" width="29.5703125" style="10" customWidth="1"/>
    <col min="8" max="8" width="2.5703125" style="10" customWidth="1"/>
    <col min="9" max="9" width="33.42578125" style="10" customWidth="1"/>
    <col min="10" max="10" width="11.28515625" style="10" customWidth="1"/>
    <col min="11" max="16384" width="9.140625" style="10"/>
  </cols>
  <sheetData>
    <row r="1" spans="1:10" x14ac:dyDescent="0.25">
      <c r="A1" s="9"/>
      <c r="B1" s="57" t="s">
        <v>4</v>
      </c>
      <c r="C1" s="58"/>
      <c r="D1" s="58"/>
      <c r="E1" s="58"/>
      <c r="F1" s="58"/>
      <c r="G1" s="59"/>
    </row>
    <row r="2" spans="1:10" x14ac:dyDescent="0.25">
      <c r="A2" s="9"/>
      <c r="B2" s="60"/>
      <c r="C2" s="61"/>
      <c r="D2" s="61"/>
      <c r="E2" s="61"/>
      <c r="F2" s="61"/>
      <c r="G2" s="62"/>
      <c r="I2" s="66"/>
      <c r="J2" s="67"/>
    </row>
    <row r="3" spans="1:10" x14ac:dyDescent="0.25">
      <c r="A3" s="9"/>
      <c r="B3" s="60"/>
      <c r="C3" s="61"/>
      <c r="D3" s="61"/>
      <c r="E3" s="61"/>
      <c r="F3" s="61"/>
      <c r="G3" s="62"/>
      <c r="I3" s="67"/>
      <c r="J3" s="67"/>
    </row>
    <row r="4" spans="1:10" ht="15.75" thickBot="1" x14ac:dyDescent="0.3">
      <c r="A4" s="9"/>
      <c r="B4" s="63"/>
      <c r="C4" s="64"/>
      <c r="D4" s="64"/>
      <c r="E4" s="64"/>
      <c r="F4" s="64"/>
      <c r="G4" s="65"/>
      <c r="I4" s="67"/>
      <c r="J4" s="67"/>
    </row>
    <row r="5" spans="1:10" ht="15.75" thickBot="1" x14ac:dyDescent="0.3">
      <c r="I5" s="67"/>
      <c r="J5" s="67"/>
    </row>
    <row r="6" spans="1:10" s="11" customFormat="1" ht="21" x14ac:dyDescent="0.35">
      <c r="B6" s="12"/>
      <c r="C6" s="13" t="s">
        <v>47</v>
      </c>
      <c r="D6" s="13"/>
      <c r="E6" s="14"/>
      <c r="F6" s="14"/>
      <c r="G6" s="15"/>
      <c r="H6" s="10"/>
      <c r="I6" s="26" t="s">
        <v>45</v>
      </c>
      <c r="J6" s="26"/>
    </row>
    <row r="7" spans="1:10" s="11" customFormat="1" ht="21" x14ac:dyDescent="0.35">
      <c r="B7" s="16"/>
      <c r="C7" s="17" t="s">
        <v>12</v>
      </c>
      <c r="D7" s="17"/>
      <c r="E7" s="18"/>
      <c r="F7" s="18"/>
      <c r="G7" s="19"/>
      <c r="H7" s="10"/>
      <c r="I7" s="27" t="s">
        <v>43</v>
      </c>
      <c r="J7" s="28">
        <f>IF(E10="dates",E19-E18,E18)</f>
        <v>91</v>
      </c>
    </row>
    <row r="8" spans="1:10" ht="18.75" x14ac:dyDescent="0.3">
      <c r="B8" s="16"/>
      <c r="C8" s="18"/>
      <c r="D8" s="18"/>
      <c r="E8" s="20" t="s">
        <v>0</v>
      </c>
      <c r="F8" s="18"/>
      <c r="G8" s="19"/>
      <c r="I8" s="26" t="s">
        <v>36</v>
      </c>
      <c r="J8" s="26">
        <f>J7/365</f>
        <v>0.24931506849315069</v>
      </c>
    </row>
    <row r="9" spans="1:10" x14ac:dyDescent="0.25">
      <c r="B9" s="16"/>
      <c r="C9" s="21" t="s">
        <v>13</v>
      </c>
      <c r="D9" s="21"/>
      <c r="E9" s="22"/>
      <c r="F9" s="18"/>
      <c r="G9" s="19"/>
      <c r="I9" s="28" t="s">
        <v>44</v>
      </c>
      <c r="J9" s="28">
        <f>IF(E10="dates",E22-E21,E21)</f>
        <v>93</v>
      </c>
    </row>
    <row r="10" spans="1:10" x14ac:dyDescent="0.25">
      <c r="B10" s="16"/>
      <c r="C10" s="23" t="s">
        <v>14</v>
      </c>
      <c r="D10" s="23"/>
      <c r="E10" s="5" t="s">
        <v>48</v>
      </c>
      <c r="F10" s="18"/>
      <c r="G10" s="19"/>
      <c r="I10" s="28" t="s">
        <v>35</v>
      </c>
      <c r="J10" s="26">
        <f>J9/365</f>
        <v>0.25479452054794521</v>
      </c>
    </row>
    <row r="11" spans="1:10" x14ac:dyDescent="0.25">
      <c r="B11" s="16"/>
      <c r="C11" s="23" t="s">
        <v>15</v>
      </c>
      <c r="D11" s="23"/>
      <c r="E11" s="5" t="s">
        <v>50</v>
      </c>
      <c r="F11" s="18"/>
      <c r="G11" s="19"/>
      <c r="I11" s="26" t="s">
        <v>41</v>
      </c>
      <c r="J11" s="33">
        <f>IF(E11="continuous",E24,E26)</f>
        <v>4.5361842196892994E-2</v>
      </c>
    </row>
    <row r="12" spans="1:10" x14ac:dyDescent="0.25">
      <c r="B12" s="16"/>
      <c r="C12" s="24" t="s">
        <v>40</v>
      </c>
      <c r="D12" s="24"/>
      <c r="E12" s="6" t="s">
        <v>49</v>
      </c>
      <c r="F12" s="18"/>
      <c r="G12" s="19"/>
      <c r="I12" s="26" t="s">
        <v>42</v>
      </c>
      <c r="J12" s="33">
        <f>IF(E11="continuous",E27,E29)</f>
        <v>6.5355586051218717E-2</v>
      </c>
    </row>
    <row r="13" spans="1:10" x14ac:dyDescent="0.25">
      <c r="B13" s="16"/>
      <c r="C13" s="23" t="s">
        <v>5</v>
      </c>
      <c r="D13" s="23"/>
      <c r="E13" s="4">
        <v>0.95</v>
      </c>
      <c r="F13" s="18"/>
      <c r="G13" s="25"/>
      <c r="I13" s="26" t="s">
        <v>34</v>
      </c>
      <c r="J13" s="26">
        <f>IF(E12="input",E16,E14*EXP((J12-J11)*u))</f>
        <v>0.96499999999999997</v>
      </c>
    </row>
    <row r="14" spans="1:10" x14ac:dyDescent="0.25">
      <c r="B14" s="16"/>
      <c r="C14" s="23" t="s">
        <v>6</v>
      </c>
      <c r="D14" s="23"/>
      <c r="E14" s="1">
        <v>0.96</v>
      </c>
      <c r="F14" s="18"/>
      <c r="G14" s="19"/>
      <c r="I14" s="26" t="s">
        <v>10</v>
      </c>
      <c r="J14" s="26">
        <f>(LN(F/k)+0.5*v^2*t)/(v*t^0.5)</f>
        <v>0.37108296529781837</v>
      </c>
    </row>
    <row r="15" spans="1:10" x14ac:dyDescent="0.25">
      <c r="B15" s="16"/>
      <c r="C15" s="29" t="s">
        <v>46</v>
      </c>
      <c r="D15" s="23"/>
      <c r="E15" s="75">
        <f>E14*EXP((J12-J11)*J9/365)</f>
        <v>0.96490300259483519</v>
      </c>
      <c r="F15" s="18"/>
      <c r="G15" s="30" t="str">
        <f>IF(E12="input","This will be ignored","")</f>
        <v>This will be ignored</v>
      </c>
      <c r="I15" s="26" t="s">
        <v>11</v>
      </c>
      <c r="J15" s="26">
        <f>(LN(F/k)-0.5*v^2*t)/(v*t^0.5)</f>
        <v>0.32614465141317733</v>
      </c>
    </row>
    <row r="16" spans="1:10" x14ac:dyDescent="0.25">
      <c r="B16" s="16"/>
      <c r="C16" s="24" t="str">
        <f>IF(E12="input","Forward outright input by you","")</f>
        <v>Forward outright input by you</v>
      </c>
      <c r="D16" s="24"/>
      <c r="E16" s="7">
        <v>0.96499999999999997</v>
      </c>
      <c r="F16" s="18"/>
      <c r="G16" s="19"/>
      <c r="I16" s="26" t="s">
        <v>31</v>
      </c>
      <c r="J16" s="26">
        <f>_xlfn.NORM.S.DIST(d1_,TRUE)</f>
        <v>0.64471213080209944</v>
      </c>
    </row>
    <row r="17" spans="2:10" x14ac:dyDescent="0.25">
      <c r="B17" s="16"/>
      <c r="C17" s="24" t="s">
        <v>7</v>
      </c>
      <c r="D17" s="24"/>
      <c r="E17" s="8">
        <v>0.09</v>
      </c>
      <c r="F17" s="18"/>
      <c r="G17" s="31" t="s">
        <v>1</v>
      </c>
      <c r="I17" s="26" t="s">
        <v>32</v>
      </c>
      <c r="J17" s="26">
        <f>_xlfn.NORM.S.DIST(d2_,TRUE)</f>
        <v>0.62784254229403658</v>
      </c>
    </row>
    <row r="18" spans="2:10" x14ac:dyDescent="0.25">
      <c r="B18" s="16"/>
      <c r="C18" s="23" t="str">
        <f>IF(E10="dates","Date now","Number of days until expiry")</f>
        <v>Number of days until expiry</v>
      </c>
      <c r="D18" s="23"/>
      <c r="E18" s="3">
        <v>91</v>
      </c>
      <c r="F18" s="18"/>
      <c r="G18" s="32" t="str">
        <f>IF(E10="dates","e.g. enter '23-2-12'","")</f>
        <v/>
      </c>
      <c r="I18" s="26" t="s">
        <v>8</v>
      </c>
      <c r="J18" s="26">
        <f>1-J16</f>
        <v>0.35528786919790056</v>
      </c>
    </row>
    <row r="19" spans="2:10" x14ac:dyDescent="0.25">
      <c r="B19" s="16"/>
      <c r="C19" s="23" t="str">
        <f>IF(E10="dates","Expiry date","")</f>
        <v/>
      </c>
      <c r="D19" s="23"/>
      <c r="E19" s="3">
        <v>41106</v>
      </c>
      <c r="F19" s="18"/>
      <c r="G19" s="32" t="str">
        <f>IF(E10="dates","e.g. enter '23-2-12'","")</f>
        <v/>
      </c>
      <c r="I19" s="26" t="s">
        <v>9</v>
      </c>
      <c r="J19" s="26">
        <f>1-J17</f>
        <v>0.37215745770596342</v>
      </c>
    </row>
    <row r="20" spans="2:10" x14ac:dyDescent="0.25">
      <c r="B20" s="16"/>
      <c r="C20" s="29" t="str">
        <f>IF(E10="dates","    Number of days until expiry","")</f>
        <v/>
      </c>
      <c r="D20" s="29"/>
      <c r="E20" s="76" t="str">
        <f>IF(E10="dates",J7,"")</f>
        <v/>
      </c>
      <c r="F20" s="34"/>
      <c r="G20" s="31"/>
      <c r="I20" s="26" t="s">
        <v>33</v>
      </c>
      <c r="J20" s="26">
        <f>_xlfn.NORM.S.DIST(d1_,FALSE)</f>
        <v>0.37239885182086124</v>
      </c>
    </row>
    <row r="21" spans="2:10" x14ac:dyDescent="0.25">
      <c r="B21" s="16"/>
      <c r="C21" s="23" t="str">
        <f>IF(E10="dates","Spot value date now","Number of days from spot until forward value date")</f>
        <v>Number of days from spot until forward value date</v>
      </c>
      <c r="D21" s="23"/>
      <c r="E21" s="3">
        <v>93</v>
      </c>
      <c r="F21" s="18"/>
      <c r="G21" s="32" t="str">
        <f>IF(E10="dates","e.g. enter '23-2-12'","")</f>
        <v/>
      </c>
    </row>
    <row r="22" spans="2:10" x14ac:dyDescent="0.25">
      <c r="B22" s="16"/>
      <c r="C22" s="23" t="str">
        <f>IF(E10="dates","Value date if option is exercised","")</f>
        <v/>
      </c>
      <c r="D22" s="23"/>
      <c r="E22" s="3">
        <v>41106</v>
      </c>
      <c r="F22" s="18"/>
      <c r="G22" s="32" t="str">
        <f>IF(E10="dates","e.g. enter '23-2-12'","")</f>
        <v/>
      </c>
    </row>
    <row r="23" spans="2:10" x14ac:dyDescent="0.25">
      <c r="B23" s="16"/>
      <c r="C23" s="35" t="str">
        <f>IF(E10="dates","    Number of days from spot to forward value date","")</f>
        <v/>
      </c>
      <c r="D23" s="35"/>
      <c r="E23" s="77" t="str">
        <f>IF(E10="dates",J9,"")</f>
        <v/>
      </c>
      <c r="F23" s="18"/>
      <c r="G23" s="32"/>
    </row>
    <row r="24" spans="2:10" x14ac:dyDescent="0.25">
      <c r="B24" s="16"/>
      <c r="C24" s="23" t="str">
        <f>IF(E11="continuous","Interest rate for the base currency (continuously compounded, 365-day year)","'Normal' quoted base currency interest rate for "&amp;TEXT(J9,"#")&amp;" days")</f>
        <v>'Normal' quoted base currency interest rate for 93 days</v>
      </c>
      <c r="D24" s="23"/>
      <c r="E24" s="74">
        <v>4.4999999999999998E-2</v>
      </c>
      <c r="F24" s="18"/>
      <c r="G24" s="31" t="s">
        <v>1</v>
      </c>
    </row>
    <row r="25" spans="2:10" x14ac:dyDescent="0.25">
      <c r="B25" s="16"/>
      <c r="C25" s="23" t="s">
        <v>16</v>
      </c>
      <c r="D25" s="23"/>
      <c r="E25" s="4">
        <v>360</v>
      </c>
      <c r="F25" s="18"/>
      <c r="G25" s="31"/>
    </row>
    <row r="26" spans="2:10" x14ac:dyDescent="0.25">
      <c r="B26" s="16"/>
      <c r="C26" s="29" t="str">
        <f>IF(E11="continuous","    Equivalent 'normal' quoted base currency interest rate for "&amp;TEXT(J9,"#")&amp;" days","    Equivalent continuously compounded interest rate for the base currency (365-day year)")</f>
        <v xml:space="preserve">    Equivalent continuously compounded interest rate for the base currency (365-day year)</v>
      </c>
      <c r="D26" s="29"/>
      <c r="E26" s="78">
        <f>IF(E11="continuous",((EXP(E24*J9/365)-1)*(E25/J9)),LN(1+E24*J9/E25)*365/J9)</f>
        <v>4.5361842196892994E-2</v>
      </c>
      <c r="F26" s="18"/>
      <c r="G26" s="31"/>
    </row>
    <row r="27" spans="2:10" x14ac:dyDescent="0.25">
      <c r="B27" s="16"/>
      <c r="C27" s="23" t="str">
        <f>IF(E11="continuous","Interest rate for the counter currency (continuously compounded, 365-day year)","'Normal' quoted counter currency interest rate for "&amp;TEXT(J9,"#")&amp;" days")</f>
        <v>'Normal' quoted counter currency interest rate for 93 days</v>
      </c>
      <c r="D27" s="23"/>
      <c r="E27" s="2">
        <v>6.5000000000000002E-2</v>
      </c>
      <c r="F27" s="18"/>
      <c r="G27" s="31" t="s">
        <v>1</v>
      </c>
    </row>
    <row r="28" spans="2:10" x14ac:dyDescent="0.25">
      <c r="B28" s="16"/>
      <c r="C28" s="23" t="s">
        <v>24</v>
      </c>
      <c r="D28" s="23"/>
      <c r="E28" s="4">
        <v>360</v>
      </c>
      <c r="F28" s="18"/>
      <c r="G28" s="31"/>
      <c r="I28" s="68"/>
      <c r="J28" s="68"/>
    </row>
    <row r="29" spans="2:10" x14ac:dyDescent="0.25">
      <c r="B29" s="16"/>
      <c r="C29" s="29" t="str">
        <f>IF(E11="continuous","    Equivalent 'normal' counter currency interest rate for "&amp;TEXT(J9,"#")&amp;" days","    Equivalent continuously compounded interest rate for the counter currency (365-day year)")</f>
        <v xml:space="preserve">    Equivalent continuously compounded interest rate for the counter currency (365-day year)</v>
      </c>
      <c r="D29" s="29"/>
      <c r="E29" s="36">
        <f>IF(E11="continuous",(EXP(E27*J9/365)-1)*(E28/J9),LN(1+E27*J9/E28)*365/J9)</f>
        <v>6.5355586051218717E-2</v>
      </c>
      <c r="F29" s="18"/>
      <c r="G29" s="31"/>
    </row>
    <row r="30" spans="2:10" ht="19.5" thickBot="1" x14ac:dyDescent="0.35">
      <c r="B30" s="16"/>
      <c r="C30" s="18"/>
      <c r="D30" s="18"/>
      <c r="E30" s="20" t="s">
        <v>2</v>
      </c>
      <c r="F30" s="18"/>
      <c r="G30" s="19"/>
    </row>
    <row r="31" spans="2:10" x14ac:dyDescent="0.25">
      <c r="B31" s="16"/>
      <c r="C31" s="37"/>
      <c r="D31" s="72" t="s">
        <v>27</v>
      </c>
      <c r="E31" s="73" t="s">
        <v>28</v>
      </c>
      <c r="F31" s="18"/>
      <c r="G31" s="19"/>
      <c r="I31" s="68"/>
    </row>
    <row r="32" spans="2:10" x14ac:dyDescent="0.25">
      <c r="B32" s="16"/>
      <c r="C32" s="38" t="s">
        <v>39</v>
      </c>
      <c r="D32" s="52">
        <f>(F*Nd1_-k*Nd2_)*EXP(-rr*u)</f>
        <v>2.5272424909748386E-2</v>
      </c>
      <c r="E32" s="53">
        <f>(-F*N__d1+k*N__d2)*EXP(-rr*u)</f>
        <v>1.0520140354570677E-2</v>
      </c>
      <c r="F32" s="18"/>
      <c r="G32" s="19"/>
    </row>
    <row r="33" spans="2:9" x14ac:dyDescent="0.25">
      <c r="B33" s="16"/>
      <c r="C33" s="38" t="s">
        <v>38</v>
      </c>
      <c r="D33" s="39">
        <f>D32/s</f>
        <v>2.6325442614321237E-2</v>
      </c>
      <c r="E33" s="40">
        <f>E32/s</f>
        <v>1.0958479536011123E-2</v>
      </c>
      <c r="F33" s="18"/>
      <c r="G33" s="19"/>
      <c r="I33" s="46"/>
    </row>
    <row r="34" spans="2:9" x14ac:dyDescent="0.25">
      <c r="B34" s="16"/>
      <c r="C34" s="41"/>
      <c r="D34" s="42"/>
      <c r="E34" s="43"/>
      <c r="F34" s="18"/>
      <c r="G34" s="19"/>
      <c r="I34" s="46"/>
    </row>
    <row r="35" spans="2:9" x14ac:dyDescent="0.25">
      <c r="B35" s="16"/>
      <c r="C35" s="38" t="s">
        <v>18</v>
      </c>
      <c r="D35" s="44">
        <f>Nd1_*EXP(-q*u)</f>
        <v>0.63730347787183927</v>
      </c>
      <c r="E35" s="40">
        <f>-N__d1*EXP(-q*u)</f>
        <v>-0.35120510979651604</v>
      </c>
      <c r="F35" s="18"/>
      <c r="G35" s="45"/>
      <c r="I35" s="46"/>
    </row>
    <row r="36" spans="2:9" x14ac:dyDescent="0.25">
      <c r="B36" s="16"/>
      <c r="C36" s="38" t="s">
        <v>19</v>
      </c>
      <c r="D36" s="54">
        <f>EXP(-q*u)*Pd1_/(s*v*t^0.5)</f>
        <v>8.5329808992847571</v>
      </c>
      <c r="E36" s="55">
        <f>EXP(-q*u)*Pd1_/(s*v*t^0.5)</f>
        <v>8.5329808992847571</v>
      </c>
      <c r="F36" s="18"/>
      <c r="G36" s="19"/>
      <c r="I36" s="46"/>
    </row>
    <row r="37" spans="2:9" x14ac:dyDescent="0.25">
      <c r="B37" s="16"/>
      <c r="C37" s="38" t="s">
        <v>20</v>
      </c>
      <c r="D37" s="51">
        <f>Nd1_</f>
        <v>0.64471213080209944</v>
      </c>
      <c r="E37" s="40">
        <f>-N__d1</f>
        <v>-0.35528786919790056</v>
      </c>
      <c r="F37" s="18"/>
      <c r="G37" s="19"/>
    </row>
    <row r="38" spans="2:9" x14ac:dyDescent="0.25">
      <c r="B38" s="16"/>
      <c r="C38" s="38" t="s">
        <v>17</v>
      </c>
      <c r="D38" s="52">
        <f>s*EXP(-q*u)*Pd1_*t^0.5</f>
        <v>0.1764551251003699</v>
      </c>
      <c r="E38" s="53">
        <f>s*EXP(-q*u)*Pd1_*t^0.5</f>
        <v>0.1764551251003699</v>
      </c>
      <c r="F38" s="18"/>
      <c r="G38" s="19"/>
    </row>
    <row r="39" spans="2:9" x14ac:dyDescent="0.25">
      <c r="B39" s="16"/>
      <c r="C39" s="38" t="s">
        <v>37</v>
      </c>
      <c r="D39" s="52">
        <f>D38*0.01</f>
        <v>1.764551251003699E-3</v>
      </c>
      <c r="E39" s="53">
        <f>E38*0.01</f>
        <v>1.764551251003699E-3</v>
      </c>
      <c r="F39" s="18"/>
      <c r="G39" s="19"/>
      <c r="I39" s="46"/>
    </row>
    <row r="40" spans="2:9" x14ac:dyDescent="0.25">
      <c r="B40" s="16"/>
      <c r="C40" s="38" t="s">
        <v>29</v>
      </c>
      <c r="D40" s="54">
        <f>-EXP(-q*u)*s*Pd1_*v/(2*t^0.5)-rr*k*EXP(-rr*u)*Nd2_+q*s*EXP(-q*u)*Nd1_</f>
        <v>-4.2433905143462861E-2</v>
      </c>
      <c r="E40" s="55">
        <f>-EXP(-q*u)*s*Pd1_*v/(2*t^0.5)+rr*k*EXP(-rr*u)*N__d2-q*s*EXP(-q*u)*N__d1</f>
        <v>-2.4418386714113054E-2</v>
      </c>
      <c r="F40" s="18"/>
      <c r="G40" s="19"/>
    </row>
    <row r="41" spans="2:9" x14ac:dyDescent="0.25">
      <c r="B41" s="16"/>
      <c r="C41" s="38" t="s">
        <v>22</v>
      </c>
      <c r="D41" s="54">
        <f>D40/365</f>
        <v>-1.1625727436565167E-4</v>
      </c>
      <c r="E41" s="55">
        <f>E40/365</f>
        <v>-6.6899689627707002E-5</v>
      </c>
      <c r="F41" s="18"/>
      <c r="G41" s="19"/>
      <c r="I41" s="46"/>
    </row>
    <row r="42" spans="2:9" x14ac:dyDescent="0.25">
      <c r="B42" s="16"/>
      <c r="C42" s="38" t="s">
        <v>30</v>
      </c>
      <c r="D42" s="54">
        <f>-EXP(-q*u)*s*Pd1_*v/(2*t^0.5)-rr*k*EXP(-rr*u)*Nd2_+rr*s*EXP(-q*u)*Nd1_</f>
        <v>-3.0201505949183985E-2</v>
      </c>
      <c r="E42" s="55">
        <f>-EXP(-q*u)*s*Pd1_*v/(2*t^0.5)+rr*k*EXP(-rr*u)*N__d2-rr*s*EXP(-q*u)*N__d1</f>
        <v>-3.1159415519490859E-2</v>
      </c>
      <c r="F42" s="18"/>
      <c r="G42" s="19"/>
    </row>
    <row r="43" spans="2:9" x14ac:dyDescent="0.25">
      <c r="B43" s="16"/>
      <c r="C43" s="38" t="s">
        <v>22</v>
      </c>
      <c r="D43" s="54">
        <f>D42/365</f>
        <v>-8.2743851915572568E-5</v>
      </c>
      <c r="E43" s="55">
        <f>E42/365</f>
        <v>-8.5368261697235225E-5</v>
      </c>
      <c r="F43" s="18"/>
      <c r="G43" s="19"/>
    </row>
    <row r="44" spans="2:9" x14ac:dyDescent="0.25">
      <c r="B44" s="16"/>
      <c r="C44" s="38" t="s">
        <v>26</v>
      </c>
      <c r="D44" s="54">
        <f>k*t*EXP(-rr*u)*Nd2_</f>
        <v>0.14624832302245197</v>
      </c>
      <c r="E44" s="56">
        <f>-k*t*EXP(-rr*u)*N__d2</f>
        <v>-8.668957648350363E-2</v>
      </c>
      <c r="F44" s="18"/>
      <c r="G44" s="19"/>
    </row>
    <row r="45" spans="2:9" x14ac:dyDescent="0.25">
      <c r="B45" s="16"/>
      <c r="C45" s="38" t="s">
        <v>25</v>
      </c>
      <c r="D45" s="52">
        <f>D44*0.01</f>
        <v>1.4624832302245197E-3</v>
      </c>
      <c r="E45" s="53">
        <f>E44*0.01</f>
        <v>-8.6689576483503636E-4</v>
      </c>
      <c r="F45" s="18"/>
      <c r="G45" s="19"/>
      <c r="I45" s="46"/>
    </row>
    <row r="46" spans="2:9" x14ac:dyDescent="0.25">
      <c r="B46" s="16"/>
      <c r="C46" s="38" t="s">
        <v>21</v>
      </c>
      <c r="D46" s="54">
        <f>-s*t*EXP(-q*u)*Nd1_</f>
        <v>-0.15253378582707913</v>
      </c>
      <c r="E46" s="56">
        <f>s*t*EXP(-q*u)*N__d1</f>
        <v>8.4058296963900395E-2</v>
      </c>
      <c r="F46" s="18"/>
      <c r="G46" s="19"/>
      <c r="I46" s="46"/>
    </row>
    <row r="47" spans="2:9" ht="15.75" thickBot="1" x14ac:dyDescent="0.3">
      <c r="B47" s="16"/>
      <c r="C47" s="69" t="s">
        <v>23</v>
      </c>
      <c r="D47" s="70">
        <f>D46*0.01</f>
        <v>-1.5253378582707913E-3</v>
      </c>
      <c r="E47" s="71">
        <f>E46*0.01</f>
        <v>8.4058296963900395E-4</v>
      </c>
      <c r="F47" s="18"/>
      <c r="G47" s="19"/>
      <c r="I47" s="46"/>
    </row>
    <row r="48" spans="2:9" x14ac:dyDescent="0.25">
      <c r="B48" s="16"/>
      <c r="C48" s="18"/>
      <c r="D48" s="18"/>
      <c r="E48" s="18"/>
      <c r="F48" s="18"/>
      <c r="G48" s="19"/>
    </row>
    <row r="49" spans="2:7" ht="15.75" thickBot="1" x14ac:dyDescent="0.3">
      <c r="B49" s="47"/>
      <c r="C49" s="48" t="s">
        <v>3</v>
      </c>
      <c r="D49" s="48"/>
      <c r="E49" s="48"/>
      <c r="F49" s="49"/>
      <c r="G49" s="50"/>
    </row>
  </sheetData>
  <sheetProtection sheet="1" objects="1" scenarios="1" selectLockedCells="1"/>
  <mergeCells count="1">
    <mergeCell ref="B1:G4"/>
  </mergeCells>
  <conditionalFormatting sqref="E19">
    <cfRule type="expression" dxfId="4" priority="8">
      <formula>OR(E10="days")</formula>
    </cfRule>
  </conditionalFormatting>
  <conditionalFormatting sqref="E22">
    <cfRule type="expression" dxfId="3" priority="6">
      <formula>OR(E10="days")</formula>
    </cfRule>
  </conditionalFormatting>
  <conditionalFormatting sqref="E18">
    <cfRule type="expression" dxfId="2" priority="5">
      <formula>OR(E10="days")</formula>
    </cfRule>
  </conditionalFormatting>
  <conditionalFormatting sqref="E16">
    <cfRule type="expression" dxfId="1" priority="3">
      <formula>OR(E12="calculate")</formula>
    </cfRule>
  </conditionalFormatting>
  <conditionalFormatting sqref="E21">
    <cfRule type="expression" dxfId="0" priority="1">
      <formula>OR(E10="days")</formula>
    </cfRule>
  </conditionalFormatting>
  <dataValidations count="7">
    <dataValidation type="date" operator="greaterThanOrEqual" showInputMessage="1" showErrorMessage="1" errorTitle="Invalid date" error="The expiry date cannot be earlier than 'Date now'." sqref="E19">
      <formula1>E18</formula1>
    </dataValidation>
    <dataValidation type="list" errorStyle="warning" showInputMessage="1" showErrorMessage="1" error="Theyear basis should normally be 360 or 365" sqref="E28 E25">
      <formula1>"360,365"</formula1>
    </dataValidation>
    <dataValidation type="list" showInputMessage="1" showErrorMessage="1" errorTitle="Choose method of input" error="Please enter 'DATES' or 'DAYS'." sqref="E10">
      <formula1>"DATES, DAYS"</formula1>
    </dataValidation>
    <dataValidation type="list" showInputMessage="1" showErrorMessage="1" errorTitle="Interest rate input" error="Please enter 'CONTINUOUS' or 'NORMAL'." sqref="E11">
      <formula1>"CONTINUOUS, NORMAL"</formula1>
    </dataValidation>
    <dataValidation type="list" showInputMessage="1" showErrorMessage="1" errorTitle="Interest rate input" error="Please enter 'CALCULATE' or 'INPUT'." sqref="E12">
      <formula1>"CALCULATE, INPUT"</formula1>
    </dataValidation>
    <dataValidation type="date" operator="greaterThanOrEqual" allowBlank="1" showInputMessage="1" showErrorMessage="1" errorTitle="Invalid date" error="The value date cannot be earlier than Expiry date'." sqref="E22">
      <formula1>E19</formula1>
    </dataValidation>
    <dataValidation type="date" operator="greaterThanOrEqual" showInputMessage="1" showErrorMessage="1" errorTitle="Invalid date" error="The spot value date cannot be earlier than 'Date now'." sqref="E21">
      <formula1>E18</formula1>
    </dataValidation>
  </dataValidations>
  <hyperlinks>
    <hyperlink ref="C49" r:id="rId1" display="www.markets-international.com"/>
  </hyperlinks>
  <printOptions horizontalCentered="1"/>
  <pageMargins left="0" right="0" top="0.74803149606299213" bottom="0.74803149606299213" header="0.31496062992125984" footer="0.31496062992125984"/>
  <pageSetup paperSize="9" scale="7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17</vt:i4>
      </vt:variant>
    </vt:vector>
  </HeadingPairs>
  <TitlesOfParts>
    <vt:vector size="20" baseType="lpstr">
      <vt:lpstr>Sheet1</vt:lpstr>
      <vt:lpstr>Sheet2</vt:lpstr>
      <vt:lpstr>Sheet3</vt:lpstr>
      <vt:lpstr>d1_</vt:lpstr>
      <vt:lpstr>d2_</vt:lpstr>
      <vt:lpstr>F</vt:lpstr>
      <vt:lpstr>k</vt:lpstr>
      <vt:lpstr>N__d1</vt:lpstr>
      <vt:lpstr>N__d2</vt:lpstr>
      <vt:lpstr>Nd1_</vt:lpstr>
      <vt:lpstr>Nd2_</vt:lpstr>
      <vt:lpstr>Pd1_</vt:lpstr>
      <vt:lpstr>Pd2_</vt:lpstr>
      <vt:lpstr>Sheet1!Print_Area</vt:lpstr>
      <vt:lpstr>q</vt:lpstr>
      <vt:lpstr>rr</vt:lpstr>
      <vt:lpstr>s</vt:lpstr>
      <vt:lpstr>t</vt:lpstr>
      <vt:lpstr>u</vt:lpstr>
      <vt:lpstr>v</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cp:lastPrinted>2012-01-04T14:55:39Z</cp:lastPrinted>
  <dcterms:created xsi:type="dcterms:W3CDTF">2011-01-13T14:26:35Z</dcterms:created>
  <dcterms:modified xsi:type="dcterms:W3CDTF">2012-01-04T14:55:56Z</dcterms:modified>
</cp:coreProperties>
</file>